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азы газораспределения" sheetId="1" r:id="rId1"/>
    <sheet name="Балансировка" sheetId="5" r:id="rId2"/>
    <sheet name="Хорда и дуга" sheetId="3" r:id="rId3"/>
  </sheet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B7"/>
  <c r="E17" i="1"/>
  <c r="E19"/>
  <c r="D56"/>
  <c r="D52"/>
  <c r="D51"/>
  <c r="D55" s="1"/>
  <c r="D59" s="1"/>
  <c r="D50"/>
  <c r="D54" s="1"/>
  <c r="D58" s="1"/>
  <c r="E16" s="1"/>
  <c r="G12" i="3"/>
  <c r="G15"/>
  <c r="D15"/>
  <c r="D12"/>
  <c r="A15"/>
  <c r="A12"/>
  <c r="D60" i="1"/>
  <c r="E20" l="1"/>
  <c r="E18"/>
</calcChain>
</file>

<file path=xl/sharedStrings.xml><?xml version="1.0" encoding="utf-8"?>
<sst xmlns="http://schemas.openxmlformats.org/spreadsheetml/2006/main" count="66" uniqueCount="49">
  <si>
    <t xml:space="preserve">Данные, необходимые для расчета </t>
  </si>
  <si>
    <t>Значение</t>
  </si>
  <si>
    <t>Длина шатуна (по центрам) (мм)</t>
  </si>
  <si>
    <t xml:space="preserve">Длина юбки поршня </t>
  </si>
  <si>
    <t>со стороны впуска (мм)</t>
  </si>
  <si>
    <t>Размер "C" (мм)</t>
  </si>
  <si>
    <t>верхней кромки окна перепуска (мм)</t>
  </si>
  <si>
    <t>верхней кромки окна выпуска (мм)</t>
  </si>
  <si>
    <t>От верхней кромки гильзы до</t>
  </si>
  <si>
    <t>нижней кромки окна впуска (мм)</t>
  </si>
  <si>
    <t>T(вып)=</t>
  </si>
  <si>
    <t>T(Пер)=</t>
  </si>
  <si>
    <t>P(Вп)=</t>
  </si>
  <si>
    <t xml:space="preserve">Расчитанные данные </t>
  </si>
  <si>
    <t>Фаза выпуска (градусов)</t>
  </si>
  <si>
    <t>Фаза перепуска (градусов)</t>
  </si>
  <si>
    <t>Фаза впуска (градусов)</t>
  </si>
  <si>
    <t>Аргумент arccos вып</t>
  </si>
  <si>
    <t>Аргумент arccos пер</t>
  </si>
  <si>
    <t>Аргумент arccos вп</t>
  </si>
  <si>
    <t>arccos вып</t>
  </si>
  <si>
    <t>arccos пер</t>
  </si>
  <si>
    <t>arccos вп</t>
  </si>
  <si>
    <t>Рабочяя часть программы</t>
  </si>
  <si>
    <t xml:space="preserve">От верхней кромки гильзы до </t>
  </si>
  <si>
    <t>Фаза впуска считается для поршневого газораспределения</t>
  </si>
  <si>
    <t>Высота окна выпуска (мм)</t>
  </si>
  <si>
    <t>Высота перепускного окна (мм)</t>
  </si>
  <si>
    <t>Длина по дуге</t>
  </si>
  <si>
    <t>Зная ширину окна на развертке можно получить ширину окна в цилиндре по хорде</t>
  </si>
  <si>
    <t>Дано:</t>
  </si>
  <si>
    <t>Длина по хорде</t>
  </si>
  <si>
    <t>Вычислено:</t>
  </si>
  <si>
    <t>Диаметр гильзы цилиндра</t>
  </si>
  <si>
    <t>внутренний (мм)</t>
  </si>
  <si>
    <t>Центральный угол</t>
  </si>
  <si>
    <t>(мм)</t>
  </si>
  <si>
    <t>(град)</t>
  </si>
  <si>
    <t>Измерив ширину окна в цилиндре по хорде можно получить ширину окна на развертке</t>
  </si>
  <si>
    <t>/</t>
  </si>
  <si>
    <t>Зная центральный угол можно получить ширину окна на развертке или по хорде в цилиндре</t>
  </si>
  <si>
    <t>Ход поршня (мм)</t>
  </si>
  <si>
    <t xml:space="preserve">Масса груза, г    </t>
  </si>
  <si>
    <t>Расчет массы балансировочного груза (Поджатый стандарт)</t>
  </si>
  <si>
    <t xml:space="preserve">Рабочие обороты, об/мин    </t>
  </si>
  <si>
    <t>Расчет массы балансировочного груза (Григорьев)</t>
  </si>
  <si>
    <t>Масса ВГШ, г</t>
  </si>
  <si>
    <t>Масса поршня с пальцем, кольцами, подшипником и шайбами, г</t>
  </si>
  <si>
    <t>Автор - Доктор Мот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</si>
</sst>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0" fillId="0" borderId="0" xfId="0" applyFill="1" applyBorder="1"/>
    <xf numFmtId="0" fontId="0" fillId="2" borderId="0" xfId="0" applyFill="1"/>
    <xf numFmtId="0" fontId="1" fillId="2" borderId="6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3" borderId="9" xfId="0" applyFont="1" applyFill="1" applyBorder="1"/>
    <xf numFmtId="0" fontId="1" fillId="3" borderId="8" xfId="0" applyFont="1" applyFill="1" applyBorder="1"/>
    <xf numFmtId="0" fontId="1" fillId="2" borderId="4" xfId="0" applyFont="1" applyFill="1" applyBorder="1"/>
    <xf numFmtId="0" fontId="1" fillId="2" borderId="11" xfId="0" applyFont="1" applyFill="1" applyBorder="1"/>
    <xf numFmtId="0" fontId="1" fillId="2" borderId="10" xfId="0" applyFont="1" applyFill="1" applyBorder="1"/>
    <xf numFmtId="0" fontId="0" fillId="0" borderId="1" xfId="0" applyBorder="1"/>
    <xf numFmtId="0" fontId="0" fillId="2" borderId="6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2" fontId="1" fillId="3" borderId="8" xfId="0" applyNumberFormat="1" applyFont="1" applyFill="1" applyBorder="1"/>
    <xf numFmtId="2" fontId="0" fillId="4" borderId="12" xfId="0" applyNumberFormat="1" applyFill="1" applyBorder="1"/>
    <xf numFmtId="2" fontId="0" fillId="4" borderId="8" xfId="0" applyNumberFormat="1" applyFill="1" applyBorder="1"/>
    <xf numFmtId="2" fontId="1" fillId="3" borderId="9" xfId="0" applyNumberFormat="1" applyFont="1" applyFill="1" applyBorder="1"/>
    <xf numFmtId="2" fontId="0" fillId="0" borderId="0" xfId="0" applyNumberFormat="1"/>
    <xf numFmtId="164" fontId="0" fillId="0" borderId="0" xfId="0" applyNumberFormat="1"/>
    <xf numFmtId="0" fontId="1" fillId="0" borderId="0" xfId="0" applyFont="1" applyFill="1"/>
    <xf numFmtId="0" fontId="1" fillId="0" borderId="0" xfId="0" applyFont="1" applyFill="1" applyBorder="1"/>
    <xf numFmtId="165" fontId="1" fillId="3" borderId="9" xfId="0" applyNumberFormat="1" applyFont="1" applyFill="1" applyBorder="1"/>
    <xf numFmtId="165" fontId="1" fillId="3" borderId="8" xfId="0" applyNumberFormat="1" applyFont="1" applyFill="1" applyBorder="1"/>
    <xf numFmtId="0" fontId="0" fillId="4" borderId="0" xfId="0" applyFill="1"/>
    <xf numFmtId="2" fontId="0" fillId="4" borderId="0" xfId="0" applyNumberFormat="1" applyFill="1"/>
    <xf numFmtId="0" fontId="0" fillId="4" borderId="0" xfId="0" applyFill="1" applyBorder="1"/>
    <xf numFmtId="0" fontId="1" fillId="2" borderId="14" xfId="0" applyFont="1" applyFill="1" applyBorder="1"/>
    <xf numFmtId="0" fontId="0" fillId="2" borderId="13" xfId="0" applyFill="1" applyBorder="1"/>
    <xf numFmtId="2" fontId="1" fillId="2" borderId="5" xfId="0" applyNumberFormat="1" applyFont="1" applyFill="1" applyBorder="1"/>
    <xf numFmtId="0" fontId="1" fillId="2" borderId="0" xfId="0" applyFont="1" applyFill="1"/>
    <xf numFmtId="0" fontId="1" fillId="4" borderId="0" xfId="0" applyFont="1" applyFill="1"/>
    <xf numFmtId="2" fontId="1" fillId="4" borderId="0" xfId="0" applyNumberFormat="1" applyFont="1" applyFill="1"/>
    <xf numFmtId="0" fontId="1" fillId="2" borderId="15" xfId="0" applyFont="1" applyFill="1" applyBorder="1"/>
    <xf numFmtId="2" fontId="1" fillId="2" borderId="4" xfId="0" applyNumberFormat="1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3" fillId="0" borderId="0" xfId="1"/>
    <xf numFmtId="166" fontId="3" fillId="0" borderId="16" xfId="1" applyNumberFormat="1" applyBorder="1" applyAlignment="1">
      <alignment horizontal="center"/>
    </xf>
    <xf numFmtId="0" fontId="2" fillId="0" borderId="16" xfId="1" applyFont="1" applyBorder="1"/>
    <xf numFmtId="166" fontId="3" fillId="0" borderId="16" xfId="1" applyNumberFormat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2" fillId="0" borderId="16" xfId="1" applyFont="1" applyBorder="1" applyAlignment="1">
      <alignment wrapText="1"/>
    </xf>
    <xf numFmtId="0" fontId="4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16</xdr:col>
      <xdr:colOff>393086</xdr:colOff>
      <xdr:row>24</xdr:row>
      <xdr:rowOff>57150</xdr:rowOff>
    </xdr:to>
    <xdr:pic>
      <xdr:nvPicPr>
        <xdr:cNvPr id="2" name="Рисунок 1" descr="Доп. рисунок 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775" y="0"/>
          <a:ext cx="5879486" cy="462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0</xdr:row>
      <xdr:rowOff>179417</xdr:rowOff>
    </xdr:from>
    <xdr:to>
      <xdr:col>18</xdr:col>
      <xdr:colOff>552449</xdr:colOff>
      <xdr:row>20</xdr:row>
      <xdr:rowOff>19050</xdr:rowOff>
    </xdr:to>
    <xdr:pic>
      <xdr:nvPicPr>
        <xdr:cNvPr id="2" name="Рисунок 1" descr="Безымянный12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4" y="179417"/>
          <a:ext cx="6410325" cy="3649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selection activeCell="E8" sqref="E8"/>
    </sheetView>
  </sheetViews>
  <sheetFormatPr defaultRowHeight="15"/>
  <cols>
    <col min="4" max="4" width="9.5703125" bestFit="1" customWidth="1"/>
  </cols>
  <sheetData>
    <row r="1" spans="1:5">
      <c r="A1" s="2" t="s">
        <v>0</v>
      </c>
      <c r="B1" s="2"/>
      <c r="C1" s="2"/>
      <c r="D1" s="3"/>
      <c r="E1" s="10" t="s">
        <v>1</v>
      </c>
    </row>
    <row r="2" spans="1:5">
      <c r="A2" s="7" t="s">
        <v>41</v>
      </c>
      <c r="B2" s="7"/>
      <c r="C2" s="7"/>
      <c r="D2" s="8"/>
      <c r="E2" s="21">
        <v>57.6</v>
      </c>
    </row>
    <row r="3" spans="1:5">
      <c r="A3" s="9" t="s">
        <v>2</v>
      </c>
      <c r="B3" s="7"/>
      <c r="C3" s="7"/>
      <c r="D3" s="8"/>
      <c r="E3" s="21">
        <v>125</v>
      </c>
    </row>
    <row r="4" spans="1:5">
      <c r="A4" s="13" t="s">
        <v>24</v>
      </c>
      <c r="B4" s="13"/>
      <c r="C4" s="13"/>
      <c r="D4" s="14"/>
      <c r="E4" s="22"/>
    </row>
    <row r="5" spans="1:5">
      <c r="A5" s="12" t="s">
        <v>7</v>
      </c>
      <c r="B5" s="2"/>
      <c r="C5" s="2"/>
      <c r="D5" s="3"/>
      <c r="E5" s="21">
        <v>38</v>
      </c>
    </row>
    <row r="6" spans="1:5">
      <c r="A6" s="1" t="s">
        <v>8</v>
      </c>
      <c r="B6" s="1"/>
      <c r="C6" s="1"/>
      <c r="D6" s="14"/>
      <c r="E6" s="23"/>
    </row>
    <row r="7" spans="1:5">
      <c r="A7" s="2" t="s">
        <v>6</v>
      </c>
      <c r="B7" s="2"/>
      <c r="C7" s="2"/>
      <c r="D7" s="3"/>
      <c r="E7" s="24">
        <v>48</v>
      </c>
    </row>
    <row r="8" spans="1:5">
      <c r="A8" s="1" t="s">
        <v>8</v>
      </c>
      <c r="B8" s="1"/>
      <c r="C8" s="1"/>
      <c r="D8" s="4"/>
      <c r="E8" s="23"/>
    </row>
    <row r="9" spans="1:5">
      <c r="A9" s="2" t="s">
        <v>9</v>
      </c>
      <c r="B9" s="2"/>
      <c r="C9" s="2"/>
      <c r="D9" s="3"/>
      <c r="E9" s="24">
        <v>90.6</v>
      </c>
    </row>
    <row r="10" spans="1:5">
      <c r="A10" s="9" t="s">
        <v>5</v>
      </c>
      <c r="B10" s="16"/>
      <c r="C10" s="16"/>
      <c r="D10" s="17"/>
      <c r="E10" s="21">
        <v>0</v>
      </c>
    </row>
    <row r="11" spans="1:5">
      <c r="A11" s="1" t="s">
        <v>3</v>
      </c>
      <c r="B11" s="6"/>
      <c r="C11" s="6"/>
      <c r="D11" s="18"/>
      <c r="E11" s="23"/>
    </row>
    <row r="12" spans="1:5">
      <c r="A12" s="2" t="s">
        <v>4</v>
      </c>
      <c r="B12" s="19"/>
      <c r="C12" s="19"/>
      <c r="D12" s="20"/>
      <c r="E12" s="24">
        <v>72</v>
      </c>
    </row>
    <row r="14" spans="1:5">
      <c r="A14" s="15"/>
      <c r="B14" s="15"/>
      <c r="C14" s="15"/>
      <c r="D14" s="15"/>
      <c r="E14" s="15"/>
    </row>
    <row r="15" spans="1:5">
      <c r="A15" s="9" t="s">
        <v>13</v>
      </c>
      <c r="B15" s="7"/>
      <c r="C15" s="7"/>
      <c r="D15" s="8"/>
      <c r="E15" s="11" t="s">
        <v>1</v>
      </c>
    </row>
    <row r="16" spans="1:5">
      <c r="A16" s="7" t="s">
        <v>14</v>
      </c>
      <c r="B16" s="7"/>
      <c r="C16" s="7"/>
      <c r="D16" s="8"/>
      <c r="E16" s="30">
        <f>(180-D58)*2</f>
        <v>156.01523827998884</v>
      </c>
    </row>
    <row r="17" spans="1:6">
      <c r="A17" s="7" t="s">
        <v>26</v>
      </c>
      <c r="B17" s="7"/>
      <c r="C17" s="7"/>
      <c r="D17" s="8"/>
      <c r="E17" s="21">
        <f>2*(E2/2)-E5</f>
        <v>19.600000000000001</v>
      </c>
    </row>
    <row r="18" spans="1:6">
      <c r="A18" s="2" t="s">
        <v>15</v>
      </c>
      <c r="B18" s="2"/>
      <c r="C18" s="2"/>
      <c r="D18" s="3"/>
      <c r="E18" s="29">
        <f>(180-D59)*2</f>
        <v>107.53656358845819</v>
      </c>
    </row>
    <row r="19" spans="1:6">
      <c r="A19" s="7" t="s">
        <v>27</v>
      </c>
      <c r="B19" s="7"/>
      <c r="C19" s="7"/>
      <c r="D19" s="8"/>
      <c r="E19" s="24">
        <f>2*(E2/2)-E7</f>
        <v>9.6000000000000014</v>
      </c>
    </row>
    <row r="20" spans="1:6">
      <c r="A20" s="7" t="s">
        <v>16</v>
      </c>
      <c r="B20" s="7"/>
      <c r="C20" s="7"/>
      <c r="D20" s="8"/>
      <c r="E20" s="30">
        <f>D60*2</f>
        <v>126.85681526685958</v>
      </c>
    </row>
    <row r="21" spans="1:6">
      <c r="A21" s="28"/>
      <c r="B21" s="28"/>
      <c r="C21" s="28"/>
      <c r="D21" s="28"/>
      <c r="E21" s="28"/>
      <c r="F21" s="5"/>
    </row>
    <row r="22" spans="1:6">
      <c r="A22" s="28"/>
      <c r="B22" s="28"/>
      <c r="C22" s="28"/>
      <c r="D22" s="28"/>
      <c r="E22" s="28"/>
      <c r="F22" s="5"/>
    </row>
    <row r="23" spans="1:6">
      <c r="A23" s="27"/>
      <c r="B23" s="27"/>
      <c r="C23" s="27"/>
      <c r="D23" s="27"/>
    </row>
    <row r="24" spans="1:6">
      <c r="A24" s="37" t="s">
        <v>25</v>
      </c>
      <c r="B24" s="37"/>
      <c r="C24" s="37"/>
      <c r="D24" s="37"/>
      <c r="E24" s="37"/>
      <c r="F24" s="37"/>
    </row>
    <row r="49" spans="1:4">
      <c r="A49" t="s">
        <v>23</v>
      </c>
    </row>
    <row r="50" spans="1:4">
      <c r="A50" t="s">
        <v>10</v>
      </c>
      <c r="D50" s="25">
        <f>(E2/2)+E3+E10-E5</f>
        <v>115.80000000000001</v>
      </c>
    </row>
    <row r="51" spans="1:4">
      <c r="A51" t="s">
        <v>11</v>
      </c>
      <c r="D51" s="25">
        <f>(E2/2)+E3+E10-E7</f>
        <v>105.80000000000001</v>
      </c>
    </row>
    <row r="52" spans="1:4">
      <c r="A52" t="s">
        <v>12</v>
      </c>
      <c r="D52" s="25">
        <f>(E2/2)+E3+E12+E10-E9</f>
        <v>135.20000000000002</v>
      </c>
    </row>
    <row r="54" spans="1:4">
      <c r="A54" t="s">
        <v>17</v>
      </c>
      <c r="D54" s="26">
        <f>((D50*D50)+((E2/2)*(E2/2))-(E3*E3))/(2*(E2/2)*D50)</f>
        <v>-0.20778161581270332</v>
      </c>
    </row>
    <row r="55" spans="1:4">
      <c r="A55" t="s">
        <v>18</v>
      </c>
      <c r="D55" s="26">
        <f>((D51*D51)+((E2/2)*(E2/2))-(E3*E3))/(2*(E2/2)*D51)</f>
        <v>-0.59105229993698738</v>
      </c>
    </row>
    <row r="56" spans="1:4">
      <c r="A56" t="s">
        <v>19</v>
      </c>
      <c r="D56" s="26">
        <f>((D52*D52)+((E2/2)*(E2/2))-(E3*E3))/(2*(E2/2)*D52)</f>
        <v>0.44731570512820545</v>
      </c>
    </row>
    <row r="58" spans="1:4">
      <c r="A58" t="s">
        <v>20</v>
      </c>
      <c r="D58" s="26">
        <f>DEGREES((ACOS(D54)))</f>
        <v>101.99238086000558</v>
      </c>
    </row>
    <row r="59" spans="1:4">
      <c r="A59" t="s">
        <v>21</v>
      </c>
      <c r="D59" s="26">
        <f>DEGREES((ACOS(D55)))</f>
        <v>126.2317182057709</v>
      </c>
    </row>
    <row r="60" spans="1:4">
      <c r="A60" t="s">
        <v>22</v>
      </c>
      <c r="D60" s="26">
        <f>DEGREES((ACOS(D56)))</f>
        <v>63.428407633429792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29" sqref="F29"/>
    </sheetView>
  </sheetViews>
  <sheetFormatPr defaultRowHeight="15"/>
  <cols>
    <col min="1" max="1" width="36.7109375" style="45" customWidth="1"/>
    <col min="2" max="16384" width="9.140625" style="45"/>
  </cols>
  <sheetData>
    <row r="1" spans="1:8" ht="30.75" customHeight="1">
      <c r="A1" s="50" t="s">
        <v>47</v>
      </c>
      <c r="B1" s="49">
        <v>240</v>
      </c>
    </row>
    <row r="2" spans="1:8">
      <c r="A2" s="47" t="s">
        <v>46</v>
      </c>
      <c r="B2" s="49">
        <v>195</v>
      </c>
    </row>
    <row r="3" spans="1:8" ht="21">
      <c r="A3" s="51" t="s">
        <v>45</v>
      </c>
      <c r="B3" s="52"/>
      <c r="C3" s="52"/>
      <c r="D3" s="52"/>
      <c r="E3" s="52"/>
      <c r="F3" s="52"/>
      <c r="G3" s="52"/>
      <c r="H3" s="52"/>
    </row>
    <row r="4" spans="1:8">
      <c r="A4" s="47" t="s">
        <v>44</v>
      </c>
      <c r="B4" s="49">
        <v>4000</v>
      </c>
      <c r="C4" s="49">
        <v>5000</v>
      </c>
      <c r="D4" s="49">
        <v>6000</v>
      </c>
      <c r="E4" s="49">
        <v>7000</v>
      </c>
      <c r="F4" s="49">
        <v>8000</v>
      </c>
      <c r="G4" s="49">
        <v>9000</v>
      </c>
      <c r="H4" s="49">
        <v>10000</v>
      </c>
    </row>
    <row r="5" spans="1:8">
      <c r="A5" s="47" t="s">
        <v>42</v>
      </c>
      <c r="B5" s="48">
        <f>($B1*0.45)+(($B2*0.336)*0.45)-($B2*0.336)</f>
        <v>71.963999999999999</v>
      </c>
      <c r="C5" s="48">
        <f>($B1*0.475)+(($B2*0.336)*0.475)-($B2*0.336)</f>
        <v>79.602000000000004</v>
      </c>
      <c r="D5" s="48">
        <f>($B1*0.5)+(($B2*0.336)*0.5)-($B2*0.336)</f>
        <v>87.239999999999981</v>
      </c>
      <c r="E5" s="48">
        <f>($B1*0.525)+(($B2*0.336)*0.525)-($B2*0.336)</f>
        <v>94.878000000000014</v>
      </c>
      <c r="F5" s="48">
        <f>($B1*0.55)+(($B2*0.336)*0.55)-($B2*0.336)</f>
        <v>102.51599999999999</v>
      </c>
      <c r="G5" s="48">
        <f>($B1*0.575)+(($B2*0.336)*0.575)-($B2*0.336)</f>
        <v>110.154</v>
      </c>
      <c r="H5" s="48">
        <f>($B1*0.6)+(($B2*0.336)*0.6)-($B2*0.336)</f>
        <v>117.792</v>
      </c>
    </row>
    <row r="6" spans="1:8" ht="21">
      <c r="A6" s="51" t="s">
        <v>43</v>
      </c>
      <c r="B6" s="53"/>
      <c r="C6" s="53"/>
      <c r="D6" s="53"/>
      <c r="E6" s="53"/>
      <c r="F6" s="53"/>
      <c r="G6" s="53"/>
      <c r="H6" s="53"/>
    </row>
    <row r="7" spans="1:8">
      <c r="A7" s="47" t="s">
        <v>42</v>
      </c>
      <c r="B7" s="46">
        <f>(B1*0.65)-(B2*0.35)</f>
        <v>87.75</v>
      </c>
    </row>
    <row r="11" spans="1:8">
      <c r="A11" s="45" t="s">
        <v>48</v>
      </c>
    </row>
  </sheetData>
  <mergeCells count="2">
    <mergeCell ref="A3:H3"/>
    <mergeCell ref="A6:H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D34" sqref="D34"/>
    </sheetView>
  </sheetViews>
  <sheetFormatPr defaultRowHeight="15"/>
  <sheetData>
    <row r="1" spans="1:16">
      <c r="A1" s="34" t="s">
        <v>33</v>
      </c>
      <c r="B1" s="35"/>
      <c r="C1" s="36"/>
      <c r="D1" s="31"/>
      <c r="E1" s="31"/>
      <c r="F1" s="31"/>
      <c r="G1" s="31"/>
      <c r="H1" s="42"/>
    </row>
    <row r="2" spans="1:16">
      <c r="A2" s="12" t="s">
        <v>34</v>
      </c>
      <c r="B2" s="20"/>
      <c r="C2" s="21">
        <v>62</v>
      </c>
      <c r="D2" s="31"/>
      <c r="E2" s="31"/>
      <c r="F2" s="31"/>
      <c r="G2" s="32"/>
      <c r="H2" s="42"/>
    </row>
    <row r="3" spans="1:16">
      <c r="A3" s="33"/>
      <c r="B3" s="33"/>
      <c r="C3" s="31"/>
      <c r="D3" s="31"/>
      <c r="E3" s="31"/>
      <c r="F3" s="31"/>
      <c r="G3" s="31"/>
      <c r="H3" s="42"/>
    </row>
    <row r="4" spans="1:16">
      <c r="A4" s="7" t="s">
        <v>30</v>
      </c>
      <c r="B4" s="7"/>
      <c r="C4" s="7"/>
      <c r="D4" s="7"/>
      <c r="E4" s="7"/>
      <c r="F4" s="7"/>
      <c r="G4" s="7"/>
      <c r="H4" s="8"/>
    </row>
    <row r="5" spans="1:16">
      <c r="A5" s="1" t="s">
        <v>31</v>
      </c>
      <c r="B5" s="4"/>
      <c r="C5" s="38"/>
      <c r="D5" s="40" t="s">
        <v>28</v>
      </c>
      <c r="E5" s="14"/>
      <c r="F5" s="38"/>
      <c r="G5" s="40" t="s">
        <v>35</v>
      </c>
      <c r="H5" s="18"/>
    </row>
    <row r="6" spans="1:16">
      <c r="A6" s="2" t="s">
        <v>36</v>
      </c>
      <c r="B6" s="3"/>
      <c r="C6" s="39"/>
      <c r="D6" s="12" t="s">
        <v>36</v>
      </c>
      <c r="E6" s="3"/>
      <c r="F6" s="38"/>
      <c r="G6" s="41" t="s">
        <v>37</v>
      </c>
      <c r="H6" s="18"/>
      <c r="K6" s="25"/>
      <c r="O6" s="25"/>
    </row>
    <row r="7" spans="1:16">
      <c r="A7" s="21">
        <v>40</v>
      </c>
      <c r="B7" s="31"/>
      <c r="C7" s="31"/>
      <c r="D7" s="21">
        <v>43.48</v>
      </c>
      <c r="E7" s="31"/>
      <c r="F7" s="31"/>
      <c r="G7" s="21">
        <v>80.36</v>
      </c>
      <c r="H7" s="42"/>
      <c r="J7" s="25"/>
      <c r="M7" s="25"/>
      <c r="P7" s="25"/>
    </row>
    <row r="8" spans="1:16">
      <c r="A8" s="31"/>
      <c r="B8" s="31"/>
      <c r="C8" s="31"/>
      <c r="D8" s="31"/>
      <c r="E8" s="31"/>
      <c r="F8" s="31"/>
      <c r="G8" s="31"/>
      <c r="H8" s="42"/>
    </row>
    <row r="9" spans="1:16">
      <c r="A9" s="7" t="s">
        <v>32</v>
      </c>
      <c r="B9" s="7"/>
      <c r="C9" s="7"/>
      <c r="D9" s="7"/>
      <c r="E9" s="7"/>
      <c r="F9" s="7"/>
      <c r="G9" s="7"/>
      <c r="H9" s="8"/>
    </row>
    <row r="10" spans="1:16">
      <c r="A10" s="37" t="s">
        <v>28</v>
      </c>
      <c r="B10" s="14"/>
      <c r="C10" s="32"/>
      <c r="D10" s="40" t="s">
        <v>31</v>
      </c>
      <c r="E10" s="14"/>
      <c r="F10" s="31"/>
      <c r="G10" s="40" t="s">
        <v>31</v>
      </c>
      <c r="H10" s="4"/>
    </row>
    <row r="11" spans="1:16">
      <c r="A11" s="2" t="s">
        <v>36</v>
      </c>
      <c r="B11" s="3"/>
      <c r="C11" s="31"/>
      <c r="D11" s="12" t="s">
        <v>36</v>
      </c>
      <c r="E11" s="3"/>
      <c r="F11" s="31"/>
      <c r="G11" s="12" t="s">
        <v>36</v>
      </c>
      <c r="H11" s="3"/>
    </row>
    <row r="12" spans="1:16">
      <c r="A12" s="21">
        <f>((2*(DEGREES(ASIN(A7/C2))))*3.1415926*(C2/2))/180</f>
        <v>43.4765298625206</v>
      </c>
      <c r="B12" s="31"/>
      <c r="C12" s="31"/>
      <c r="D12" s="21">
        <f>C2*SIN(RADIANS((D7*360)/(2*C2*3.1415926)))</f>
        <v>40.002651283458185</v>
      </c>
      <c r="E12" s="31"/>
      <c r="F12" s="31"/>
      <c r="G12" s="21">
        <f>C2*SIN(RADIANS(G7/2))</f>
        <v>40.001844064325191</v>
      </c>
      <c r="H12" s="42"/>
    </row>
    <row r="13" spans="1:16">
      <c r="A13" s="37" t="s">
        <v>35</v>
      </c>
      <c r="B13" s="14"/>
      <c r="C13" s="31"/>
      <c r="D13" s="40" t="s">
        <v>35</v>
      </c>
      <c r="E13" s="14"/>
      <c r="F13" s="31"/>
      <c r="G13" s="40" t="s">
        <v>28</v>
      </c>
      <c r="H13" s="14"/>
    </row>
    <row r="14" spans="1:16">
      <c r="A14" s="37" t="s">
        <v>37</v>
      </c>
      <c r="B14" s="3"/>
      <c r="C14" s="31"/>
      <c r="D14" s="12" t="s">
        <v>37</v>
      </c>
      <c r="E14" s="3"/>
      <c r="F14" s="31"/>
      <c r="G14" s="12" t="s">
        <v>36</v>
      </c>
      <c r="H14" s="3"/>
    </row>
    <row r="15" spans="1:16">
      <c r="A15" s="21">
        <f>((2*(DEGREES(ASIN(A7/C2)))))</f>
        <v>80.35553908029577</v>
      </c>
      <c r="B15" s="31"/>
      <c r="C15" s="31"/>
      <c r="D15" s="21">
        <f>((D7*360)/(3.1415926*2*(C2/2)))</f>
        <v>80.361952765305162</v>
      </c>
      <c r="E15" s="31"/>
      <c r="F15" s="31"/>
      <c r="G15" s="21">
        <f>(G7*2*3.1415926*(C2/2))/360</f>
        <v>43.478943452311107</v>
      </c>
      <c r="H15" s="42"/>
    </row>
    <row r="16" spans="1:16">
      <c r="A16" s="43"/>
      <c r="B16" s="43"/>
      <c r="C16" s="43"/>
      <c r="D16" s="43"/>
      <c r="E16" s="43"/>
      <c r="F16" s="43"/>
      <c r="G16" s="43"/>
      <c r="H16" s="44"/>
    </row>
    <row r="23" spans="1:10">
      <c r="A23" s="37" t="s">
        <v>38</v>
      </c>
      <c r="B23" s="37"/>
      <c r="C23" s="6"/>
      <c r="D23" s="6"/>
      <c r="E23" s="6"/>
      <c r="F23" s="6"/>
      <c r="G23" s="6"/>
      <c r="H23" s="6"/>
      <c r="I23" s="6"/>
      <c r="J23" s="6"/>
    </row>
    <row r="24" spans="1:10">
      <c r="A24" s="37"/>
      <c r="B24" s="37" t="s">
        <v>39</v>
      </c>
      <c r="C24" s="6"/>
      <c r="D24" s="6"/>
      <c r="E24" s="6"/>
      <c r="F24" s="6"/>
      <c r="G24" s="6"/>
      <c r="H24" s="6"/>
      <c r="I24" s="6"/>
      <c r="J24" s="6"/>
    </row>
    <row r="25" spans="1:10">
      <c r="A25" s="37" t="s">
        <v>29</v>
      </c>
      <c r="B25" s="37"/>
      <c r="C25" s="6"/>
      <c r="D25" s="6"/>
      <c r="E25" s="6"/>
      <c r="F25" s="6"/>
      <c r="G25" s="6"/>
      <c r="H25" s="6"/>
      <c r="I25" s="6"/>
      <c r="J25" s="6"/>
    </row>
    <row r="26" spans="1:10">
      <c r="A26" s="37"/>
      <c r="B26" s="37" t="s">
        <v>39</v>
      </c>
      <c r="C26" s="6"/>
      <c r="D26" s="6"/>
      <c r="E26" s="6"/>
      <c r="F26" s="6"/>
      <c r="G26" s="6"/>
      <c r="H26" s="6"/>
      <c r="I26" s="6"/>
      <c r="J26" s="6"/>
    </row>
    <row r="27" spans="1:10">
      <c r="A27" s="37" t="s">
        <v>40</v>
      </c>
      <c r="B27" s="37"/>
      <c r="C27" s="6"/>
      <c r="D27" s="6"/>
      <c r="E27" s="6"/>
      <c r="F27" s="6"/>
      <c r="G27" s="6"/>
      <c r="H27" s="6"/>
      <c r="I27" s="6"/>
      <c r="J27" s="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Фазы газораспределения</vt:lpstr>
      <vt:lpstr>Балансировка</vt:lpstr>
      <vt:lpstr>Хорда и дуга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2013-08-12T01:47:55Z</dcterms:modified>
</cp:coreProperties>
</file>